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435" activeTab="0"/>
  </bookViews>
  <sheets>
    <sheet name="SPHINX @ THROCKMORTON" sheetId="5"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 Jim West</author>
    <author>Jim West - Kimley-Horn and Associates, Inc.</author>
    <author>BAY.User</author>
  </authors>
  <commentList>
    <comment ref="A1" authorId="0">
      <text>
        <r>
          <rPr>
            <b/>
            <sz val="10"/>
            <rFont val="Tahoma"/>
            <family val="2"/>
          </rPr>
          <t>Please contact Jim West, KHA San Ramon with comments or corrections.  925-543-0840.</t>
        </r>
        <r>
          <rPr>
            <b/>
            <sz val="8"/>
            <rFont val="Tahoma"/>
            <family val="2"/>
          </rPr>
          <t xml:space="preserve">
</t>
        </r>
        <r>
          <rPr>
            <sz val="8"/>
            <rFont val="Tahoma"/>
            <family val="2"/>
          </rPr>
          <t xml:space="preserve">
</t>
        </r>
      </text>
    </comment>
    <comment ref="I6" authorId="1">
      <text>
        <r>
          <rPr>
            <b/>
            <sz val="8"/>
            <rFont val="Tahoma"/>
            <family val="2"/>
          </rPr>
          <t>Combination of new and pass-by trips.  Does not include a reduction for internal capture.</t>
        </r>
        <r>
          <rPr>
            <sz val="8"/>
            <rFont val="Tahoma"/>
            <family val="2"/>
          </rPr>
          <t xml:space="preserve">
</t>
        </r>
      </text>
    </comment>
    <comment ref="P6" authorId="1">
      <text>
        <r>
          <rPr>
            <b/>
            <sz val="8"/>
            <rFont val="Tahoma"/>
            <family val="2"/>
          </rPr>
          <t xml:space="preserve">Includes new trips only after a reduction for pass-by trips. Does not include a reduction for internal capture for mixed use developments. </t>
        </r>
      </text>
    </comment>
    <comment ref="E7" authorId="1">
      <text>
        <r>
          <rPr>
            <b/>
            <sz val="8"/>
            <rFont val="Tahoma"/>
            <family val="2"/>
          </rPr>
          <t>Indicate  if calculations should be based on  average rates (Avg) or equations (Eq).</t>
        </r>
      </text>
    </comment>
    <comment ref="B8" authorId="2">
      <text>
        <r>
          <rPr>
            <sz val="8"/>
            <rFont val="Tahoma"/>
            <family val="2"/>
          </rPr>
          <t xml:space="preserve">Apartments are rental dwelling units that are located within the same building with at least three other dwellings units, for example, quadraplexes and all types of apartment buildings. The studies included in this land use did not identify whether the apartments were low-rise, mid-rise, or high-rise. Low-rise apartment (Land Use 221), high-rise apartment (Land Use 222) and mid-rise apartment (Land Use 223) are related uses.
</t>
        </r>
      </text>
    </comment>
    <comment ref="B9" authorId="2">
      <text>
        <r>
          <rPr>
            <sz val="8"/>
            <rFont val="Tahoma"/>
            <family val="2"/>
          </rPr>
          <t xml:space="preserve">Apartments are rental dwelling units that are located within the same building with at least three other dwellings units, for example, quadraplexes and all types of apartment buildings. The studies included in this land use did not identify whether the apartments were low-rise, mid-rise, or high-rise. Low-rise apartment (Land Use 221), high-rise apartment (Land Use 222) and mid-rise apartment (Land Use 223) are related uses.
</t>
        </r>
      </text>
    </comment>
    <comment ref="B13" authorId="2">
      <text>
        <r>
          <rPr>
            <sz val="8"/>
            <rFont val="Tahoma"/>
            <family val="2"/>
          </rPr>
          <t xml:space="preserve">Apartments are rental dwelling units that are located within the same building with at least three other dwellings units, for example, quadraplexes and all types of apartment buildings. The studies included in this land use did not identify whether the apartments were low-rise, mid-rise, or high-rise. Low-rise apartment (Land Use 221), high-rise apartment (Land Use 222) and mid-rise apartment (Land Use 223) are related uses.
</t>
        </r>
      </text>
    </comment>
    <comment ref="B14" authorId="2">
      <text>
        <r>
          <rPr>
            <sz val="8"/>
            <rFont val="Tahoma"/>
            <family val="2"/>
          </rPr>
          <t xml:space="preserve">Apartments are rental dwelling units that are located within the same building with at least three other dwellings units, for example, quadraplexes and all types of apartment buildings. The studies included in this land use did not identify whether the apartments were low-rise, mid-rise, or high-rise. Low-rise apartment (Land Use 221), high-rise apartment (Land Use 222) and mid-rise apartment (Land Use 223) are related uses.
</t>
        </r>
      </text>
    </comment>
    <comment ref="B15" authorId="2">
      <text>
        <r>
          <rPr>
            <sz val="8"/>
            <rFont val="Tahoma"/>
            <family val="2"/>
          </rPr>
          <t xml:space="preserve">A shopping center is an integrated group of commercial establishments that is planned, developed, owned and managed as a unit. A shopping center's composition is related to its market area in terms of size, location and type of store. A shopping center also provides on-site parking facilities sufficient to service its own parking demands. Specialty retail center (Land Use 814) and factory outlet center (land Use 823) are related uses. </t>
        </r>
      </text>
    </comment>
    <comment ref="AF15" authorId="1">
      <text>
        <r>
          <rPr>
            <b/>
            <sz val="8"/>
            <rFont val="Tahoma"/>
            <family val="2"/>
          </rPr>
          <t>Do not Edit.  Pass-by is a function of project size using equation from ITE Trip Generation Handbook with min non-passby assumed at 66%.  Ln(T)=-0.29Ln(X)+5.00</t>
        </r>
      </text>
    </comment>
    <comment ref="I20" authorId="1">
      <text>
        <r>
          <rPr>
            <b/>
            <sz val="8"/>
            <rFont val="Tahoma"/>
            <family val="2"/>
          </rPr>
          <t>Combination of new and pass-by trips.  Does not include a reduction for internal capture.</t>
        </r>
        <r>
          <rPr>
            <sz val="8"/>
            <rFont val="Tahoma"/>
            <family val="2"/>
          </rPr>
          <t xml:space="preserve">
</t>
        </r>
      </text>
    </comment>
    <comment ref="P20" authorId="1">
      <text>
        <r>
          <rPr>
            <b/>
            <sz val="8"/>
            <rFont val="Tahoma"/>
            <family val="2"/>
          </rPr>
          <t xml:space="preserve">Includes new trips only after a reduction for pass-by trips. Does not include a reduction for internal capture for mixed use developments. </t>
        </r>
      </text>
    </comment>
  </commentList>
</comments>
</file>

<file path=xl/sharedStrings.xml><?xml version="1.0" encoding="utf-8"?>
<sst xmlns="http://schemas.openxmlformats.org/spreadsheetml/2006/main" count="111" uniqueCount="62">
  <si>
    <t xml:space="preserve">Trip Generation Planner (ITE 8th Edition) </t>
  </si>
  <si>
    <t>Weekday Trip Generation</t>
  </si>
  <si>
    <t>Project Name</t>
  </si>
  <si>
    <t xml:space="preserve">Trips Based on Average Rates/Equations </t>
  </si>
  <si>
    <t>Project Number</t>
  </si>
  <si>
    <t>Trip Rates</t>
  </si>
  <si>
    <t>Total Trips</t>
  </si>
  <si>
    <t>Net Trips after Pass-By Reduction</t>
  </si>
  <si>
    <t>Average Rates</t>
  </si>
  <si>
    <t>In/Out Percentages</t>
  </si>
  <si>
    <r>
      <t>Non</t>
    </r>
    <r>
      <rPr>
        <b/>
        <sz val="10"/>
        <rFont val="Arial"/>
        <family val="2"/>
      </rPr>
      <t xml:space="preserve"> Pass-by Percentages</t>
    </r>
  </si>
  <si>
    <t>Pass-By Volumes</t>
  </si>
  <si>
    <t>Peak of Adjacent Street Traffic or Generator</t>
  </si>
  <si>
    <t>Regression Equations</t>
  </si>
  <si>
    <r>
      <t>R</t>
    </r>
    <r>
      <rPr>
        <b/>
        <vertAlign val="superscript"/>
        <sz val="10"/>
        <rFont val="Arial"/>
        <family val="2"/>
      </rPr>
      <t>2</t>
    </r>
    <r>
      <rPr>
        <b/>
        <sz val="10"/>
        <rFont val="Arial"/>
        <family val="2"/>
      </rPr>
      <t xml:space="preserve"> for equations</t>
    </r>
  </si>
  <si>
    <t>Trips by Equation</t>
  </si>
  <si>
    <t>ITE Code</t>
  </si>
  <si>
    <t xml:space="preserve">Land Use Description </t>
  </si>
  <si>
    <t>Independent Variable</t>
  </si>
  <si>
    <t>No. of Units</t>
  </si>
  <si>
    <t>Avg Rate
 or Eq</t>
  </si>
  <si>
    <t>Daily Rate</t>
  </si>
  <si>
    <t>AM Rate</t>
  </si>
  <si>
    <t>PM Rate</t>
  </si>
  <si>
    <t>Daily Trips</t>
  </si>
  <si>
    <t>AM Trips</t>
  </si>
  <si>
    <t>PM Trips</t>
  </si>
  <si>
    <t>AM Trips In</t>
  </si>
  <si>
    <t>AM Trips Out</t>
  </si>
  <si>
    <t>PM Trips In</t>
  </si>
  <si>
    <t>PM Trips Out</t>
  </si>
  <si>
    <t xml:space="preserve">AM Trips </t>
  </si>
  <si>
    <t xml:space="preserve">PM Trips </t>
  </si>
  <si>
    <t>% AM Trips In</t>
  </si>
  <si>
    <t>% AM Trips Out</t>
  </si>
  <si>
    <t>% PM Trips In</t>
  </si>
  <si>
    <t>% PM Trips Out</t>
  </si>
  <si>
    <t>Pm Trips In</t>
  </si>
  <si>
    <t>Peak AM of Generator</t>
  </si>
  <si>
    <t>Peak PM of Generator</t>
  </si>
  <si>
    <t>Total Daily Trips</t>
  </si>
  <si>
    <t>Total AM
Trips</t>
  </si>
  <si>
    <t>Total PM
Trips</t>
  </si>
  <si>
    <t>Avg</t>
  </si>
  <si>
    <t>Adjacent Street Traffic</t>
  </si>
  <si>
    <t>1,000 Sq Ft</t>
  </si>
  <si>
    <t>Dwelling Unit(s)</t>
  </si>
  <si>
    <t>Apartment</t>
  </si>
  <si>
    <t>T = 6.06(X) + 123.56</t>
  </si>
  <si>
    <t>T = 0.49(X) + 3.73</t>
  </si>
  <si>
    <t>T = 0.55(X) + 17.65</t>
  </si>
  <si>
    <t>Shopping Center</t>
  </si>
  <si>
    <t>Ln(T) = 0.65Ln(X) + 5.83</t>
  </si>
  <si>
    <t>Ln(T) = 0.59Ln(X) + 2.32</t>
  </si>
  <si>
    <t>Ln(T) = 0.67Ln(X) + 3.37</t>
  </si>
  <si>
    <t>Totals</t>
  </si>
  <si>
    <t>Bldg 1-7 (south of creek)</t>
  </si>
  <si>
    <t>Bldg 8-9 (north of creek)</t>
  </si>
  <si>
    <t>Total Trips (MF + Retails)</t>
  </si>
  <si>
    <t>124 Units of MF &amp; 10,918 SF of Retail</t>
  </si>
  <si>
    <t>SPHINX - US380 @ Throckmorton</t>
  </si>
  <si>
    <t>SPHINX @ THROCKMORTON VILLAS  (US380 @ Throckmorton Street)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</si>
</sst>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numFmt numFmtId="165" formatCode="0##.00"/>
  </numFmts>
  <fonts count="15">
    <font>
      <sz val="11"/>
      <color theme="1"/>
      <name val="Calibri"/>
      <family val="2"/>
      <scheme val="minor"/>
    </font>
    <font>
      <sz val="10"/>
      <name val="Arial"/>
      <family val="2"/>
    </font>
    <font>
      <b/>
      <i/>
      <sz val="20"/>
      <color theme="0"/>
      <name val="Arial"/>
      <family val="2"/>
    </font>
    <font>
      <sz val="10"/>
      <color theme="0"/>
      <name val="Arial"/>
      <family val="2"/>
    </font>
    <font>
      <b/>
      <i/>
      <sz val="12"/>
      <name val="Arial"/>
      <family val="2"/>
    </font>
    <font>
      <b/>
      <sz val="12"/>
      <color indexed="10"/>
      <name val="Arial"/>
      <family val="2"/>
    </font>
    <font>
      <sz val="10"/>
      <color indexed="22"/>
      <name val="Arial"/>
      <family val="2"/>
    </font>
    <font>
      <b/>
      <sz val="10"/>
      <color theme="0"/>
      <name val="Arial"/>
      <family val="2"/>
    </font>
    <font>
      <b/>
      <sz val="10"/>
      <name val="Arial"/>
      <family val="2"/>
    </font>
    <font>
      <b/>
      <u val="single"/>
      <sz val="10"/>
      <name val="Arial"/>
      <family val="2"/>
    </font>
    <font>
      <b/>
      <vertAlign val="superscript"/>
      <sz val="10"/>
      <name val="Arial"/>
      <family val="2"/>
    </font>
    <font>
      <b/>
      <sz val="10"/>
      <name val="Tahoma"/>
      <family val="2"/>
    </font>
    <font>
      <b/>
      <sz val="8"/>
      <name val="Tahoma"/>
      <family val="2"/>
    </font>
    <font>
      <sz val="8"/>
      <name val="Tahoma"/>
      <family val="2"/>
    </font>
    <font>
      <b/>
      <sz val="8"/>
      <name val="Calibri"/>
      <family val="2"/>
    </font>
  </fonts>
  <fills count="8">
    <fill>
      <patternFill/>
    </fill>
    <fill>
      <patternFill patternType="gray125"/>
    </fill>
    <fill>
      <patternFill patternType="solid">
        <fgColor rgb="FF851F37"/>
        <bgColor indexed="64"/>
      </patternFill>
    </fill>
    <fill>
      <patternFill patternType="solid">
        <fgColor indexed="22"/>
        <bgColor indexed="64"/>
      </patternFill>
    </fill>
    <fill>
      <patternFill patternType="solid">
        <fgColor theme="9" tint="0.5999900102615356"/>
        <bgColor indexed="64"/>
      </patternFill>
    </fill>
    <fill>
      <patternFill patternType="solid">
        <fgColor theme="6" tint="0.5999900102615356"/>
        <bgColor indexed="64"/>
      </patternFill>
    </fill>
    <fill>
      <patternFill patternType="solid">
        <fgColor indexed="45"/>
        <bgColor indexed="64"/>
      </patternFill>
    </fill>
    <fill>
      <patternFill patternType="solid">
        <fgColor theme="0"/>
        <bgColor indexed="64"/>
      </patternFill>
    </fill>
  </fills>
  <borders count="29">
    <border>
      <left/>
      <right/>
      <top/>
      <bottom/>
      <diagonal/>
    </border>
    <border>
      <left/>
      <right/>
      <top/>
      <bottom style="medium"/>
    </border>
    <border>
      <left style="thin"/>
      <right/>
      <top style="thin"/>
      <bottom style="medium"/>
    </border>
    <border>
      <left/>
      <right/>
      <top style="thin"/>
      <bottom style="medium"/>
    </border>
    <border>
      <left/>
      <right style="thin"/>
      <top style="thin"/>
      <bottom style="medium"/>
    </border>
    <border>
      <left style="thin"/>
      <right/>
      <top style="thin"/>
      <bottom style="thin"/>
    </border>
    <border>
      <left/>
      <right/>
      <top style="thin"/>
      <bottom style="thin"/>
    </border>
    <border>
      <left/>
      <right style="thin"/>
      <top style="thin"/>
      <bottom style="thin"/>
    </border>
    <border>
      <left/>
      <right/>
      <top/>
      <bottom style="thin"/>
    </border>
    <border>
      <left/>
      <right style="thin"/>
      <top/>
      <bottom style="thin"/>
    </border>
    <border>
      <left style="thin"/>
      <right/>
      <top/>
      <bottom style="thin"/>
    </border>
    <border>
      <left style="medium"/>
      <right/>
      <top style="medium"/>
      <bottom style="thin"/>
    </border>
    <border>
      <left/>
      <right/>
      <top style="medium"/>
      <bottom style="thin"/>
    </border>
    <border>
      <left style="medium"/>
      <right/>
      <top style="thin"/>
      <bottom style="thin"/>
    </border>
    <border>
      <left/>
      <right style="medium"/>
      <top/>
      <bottom/>
    </border>
    <border>
      <left style="medium"/>
      <right/>
      <top style="thin"/>
      <bottom style="medium"/>
    </border>
    <border>
      <left style="thin"/>
      <right/>
      <top/>
      <bottom style="medium"/>
    </border>
    <border>
      <left/>
      <right style="thin"/>
      <top/>
      <bottom style="medium"/>
    </border>
    <border>
      <left/>
      <right style="medium"/>
      <top/>
      <bottom style="medium"/>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
      <left/>
      <right/>
      <top style="medium"/>
      <bottom/>
    </border>
    <border>
      <left/>
      <right style="medium"/>
      <top style="medium"/>
      <bottom/>
    </border>
    <border>
      <left style="thin"/>
      <right/>
      <top style="thin"/>
      <bottom/>
    </border>
    <border>
      <left/>
      <right/>
      <top style="thin"/>
      <bottom/>
    </border>
    <border>
      <left/>
      <right style="thin"/>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3">
    <xf numFmtId="0" fontId="0" fillId="0" borderId="0" xfId="0"/>
    <xf numFmtId="0" fontId="0" fillId="0" borderId="0" xfId="0" applyAlignment="1">
      <alignment horizontal="center"/>
    </xf>
    <xf numFmtId="0" fontId="0" fillId="0" borderId="0" xfId="0" applyAlignment="1">
      <alignment horizontal="right"/>
    </xf>
    <xf numFmtId="0" fontId="2" fillId="2" borderId="0" xfId="0" applyFont="1" applyFill="1" applyAlignment="1" quotePrefix="1">
      <alignment horizontal="left"/>
    </xf>
    <xf numFmtId="0" fontId="3" fillId="2" borderId="0" xfId="0" applyFont="1" applyFill="1"/>
    <xf numFmtId="0" fontId="3" fillId="2" borderId="0" xfId="0" applyFont="1" applyFill="1" applyAlignment="1">
      <alignment horizontal="center"/>
    </xf>
    <xf numFmtId="0" fontId="0" fillId="2" borderId="0" xfId="0" applyFill="1" applyAlignment="1">
      <alignment horizontal="center"/>
    </xf>
    <xf numFmtId="0" fontId="0" fillId="3" borderId="0" xfId="0" applyFill="1"/>
    <xf numFmtId="0" fontId="0" fillId="3" borderId="0" xfId="0" applyFill="1" applyAlignment="1">
      <alignment horizontal="center"/>
    </xf>
    <xf numFmtId="0" fontId="2" fillId="0" borderId="0" xfId="0" applyFont="1" applyFill="1" applyAlignment="1" quotePrefix="1">
      <alignment horizontal="left"/>
    </xf>
    <xf numFmtId="0" fontId="3" fillId="0" borderId="0" xfId="0" applyFont="1" applyFill="1"/>
    <xf numFmtId="0" fontId="3" fillId="0" borderId="0" xfId="0" applyFont="1" applyFill="1" applyAlignment="1">
      <alignment horizontal="center"/>
    </xf>
    <xf numFmtId="0" fontId="0" fillId="0" borderId="0" xfId="0" applyFill="1" applyAlignment="1">
      <alignment horizontal="center"/>
    </xf>
    <xf numFmtId="0" fontId="4" fillId="0" borderId="0" xfId="0" applyFont="1" applyAlignment="1">
      <alignment horizontal="left"/>
    </xf>
    <xf numFmtId="0" fontId="4" fillId="0" borderId="0" xfId="0" applyFont="1"/>
    <xf numFmtId="0" fontId="6" fillId="3" borderId="0" xfId="0" applyFont="1" applyFill="1"/>
    <xf numFmtId="0" fontId="6" fillId="3" borderId="0" xfId="0" applyFont="1" applyFill="1" applyAlignment="1">
      <alignment horizontal="center"/>
    </xf>
    <xf numFmtId="49" fontId="5" fillId="0" borderId="0" xfId="0" applyNumberFormat="1" applyFont="1" applyFill="1" applyAlignment="1">
      <alignment horizontal="center"/>
    </xf>
    <xf numFmtId="0" fontId="7" fillId="0" borderId="0" xfId="0" applyFont="1" applyFill="1"/>
    <xf numFmtId="0" fontId="8" fillId="0" borderId="1" xfId="0" applyFont="1" applyBorder="1" applyAlignment="1">
      <alignment horizontal="center" wrapText="1"/>
    </xf>
    <xf numFmtId="0" fontId="8" fillId="0" borderId="2" xfId="0"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0" fontId="8" fillId="4" borderId="2" xfId="0" applyFont="1" applyFill="1" applyBorder="1" applyAlignment="1">
      <alignment horizontal="center" wrapText="1"/>
    </xf>
    <xf numFmtId="0" fontId="8" fillId="4" borderId="3" xfId="0" applyFont="1" applyFill="1" applyBorder="1" applyAlignment="1">
      <alignment horizontal="center" wrapText="1"/>
    </xf>
    <xf numFmtId="0" fontId="8" fillId="4" borderId="4" xfId="0" applyFont="1" applyFill="1" applyBorder="1" applyAlignment="1">
      <alignment horizontal="center" wrapText="1"/>
    </xf>
    <xf numFmtId="0" fontId="8" fillId="3" borderId="1" xfId="0" applyFont="1" applyFill="1" applyBorder="1" applyAlignment="1">
      <alignment horizontal="center" wrapText="1"/>
    </xf>
    <xf numFmtId="0" fontId="8" fillId="3" borderId="1" xfId="0" applyFont="1" applyFill="1" applyBorder="1" applyAlignment="1" quotePrefix="1">
      <alignment horizontal="center" wrapText="1"/>
    </xf>
    <xf numFmtId="2" fontId="0" fillId="0" borderId="5" xfId="0" applyNumberFormat="1" applyBorder="1" applyAlignment="1">
      <alignment horizontal="center"/>
    </xf>
    <xf numFmtId="2" fontId="0" fillId="0" borderId="6" xfId="0" applyNumberFormat="1" applyBorder="1" applyAlignment="1">
      <alignment horizontal="center"/>
    </xf>
    <xf numFmtId="2" fontId="0" fillId="0" borderId="7" xfId="0" applyNumberFormat="1" applyBorder="1" applyAlignment="1">
      <alignment horizontal="center"/>
    </xf>
    <xf numFmtId="1" fontId="0" fillId="0" borderId="8" xfId="0" applyNumberFormat="1" applyBorder="1" applyAlignment="1">
      <alignment horizontal="center"/>
    </xf>
    <xf numFmtId="1" fontId="0" fillId="0" borderId="9" xfId="0" applyNumberFormat="1" applyBorder="1" applyAlignment="1">
      <alignment horizontal="center"/>
    </xf>
    <xf numFmtId="9" fontId="0" fillId="3" borderId="8" xfId="15" applyFont="1" applyFill="1" applyBorder="1" applyAlignment="1">
      <alignment horizontal="center"/>
    </xf>
    <xf numFmtId="9" fontId="0" fillId="3" borderId="0" xfId="15" applyFont="1" applyFill="1" applyBorder="1" applyAlignment="1">
      <alignment horizontal="center"/>
    </xf>
    <xf numFmtId="165" fontId="0" fillId="3" borderId="0" xfId="15" applyNumberFormat="1" applyFont="1" applyFill="1" applyBorder="1" applyAlignment="1">
      <alignment horizontal="center"/>
    </xf>
    <xf numFmtId="1" fontId="0" fillId="3" borderId="0" xfId="0" applyNumberFormat="1" applyFill="1" applyAlignment="1">
      <alignment horizontal="center"/>
    </xf>
    <xf numFmtId="1" fontId="0" fillId="3" borderId="6" xfId="15" applyNumberFormat="1" applyFont="1" applyFill="1" applyBorder="1" applyAlignment="1">
      <alignment horizontal="center"/>
    </xf>
    <xf numFmtId="0" fontId="0" fillId="0" borderId="6" xfId="0" applyBorder="1"/>
    <xf numFmtId="1" fontId="0" fillId="0" borderId="5" xfId="0" applyNumberFormat="1" applyBorder="1" applyAlignment="1">
      <alignment horizontal="center"/>
    </xf>
    <xf numFmtId="1" fontId="0" fillId="4" borderId="6" xfId="0" applyNumberFormat="1" applyFill="1" applyBorder="1" applyAlignment="1">
      <alignment horizontal="center"/>
    </xf>
    <xf numFmtId="1" fontId="0" fillId="0" borderId="6" xfId="0" applyNumberFormat="1" applyBorder="1" applyAlignment="1">
      <alignment horizontal="center"/>
    </xf>
    <xf numFmtId="2" fontId="0" fillId="3" borderId="6" xfId="0" applyNumberFormat="1" applyFill="1" applyBorder="1" applyAlignment="1">
      <alignment horizontal="center"/>
    </xf>
    <xf numFmtId="1" fontId="0" fillId="0" borderId="6" xfId="0" applyNumberFormat="1" applyFill="1" applyBorder="1" applyAlignment="1">
      <alignment horizontal="center"/>
    </xf>
    <xf numFmtId="0" fontId="0" fillId="0" borderId="0" xfId="0" applyAlignment="1">
      <alignment horizontal="left"/>
    </xf>
    <xf numFmtId="0" fontId="8" fillId="0" borderId="0" xfId="0" applyFont="1" applyAlignment="1">
      <alignment horizontal="center"/>
    </xf>
    <xf numFmtId="1" fontId="8" fillId="3" borderId="0" xfId="0" applyNumberFormat="1" applyFont="1" applyFill="1" applyAlignment="1">
      <alignment horizontal="center"/>
    </xf>
    <xf numFmtId="1" fontId="8" fillId="4" borderId="10" xfId="0" applyNumberFormat="1" applyFont="1" applyFill="1" applyBorder="1" applyAlignment="1">
      <alignment horizontal="center"/>
    </xf>
    <xf numFmtId="164" fontId="0" fillId="0" borderId="11" xfId="0" applyNumberFormat="1" applyBorder="1" applyAlignment="1">
      <alignment horizontal="left"/>
    </xf>
    <xf numFmtId="0" fontId="0" fillId="0" borderId="12" xfId="0" applyBorder="1"/>
    <xf numFmtId="164" fontId="0" fillId="0" borderId="13" xfId="0" applyNumberFormat="1" applyBorder="1" applyAlignment="1">
      <alignment horizontal="left"/>
    </xf>
    <xf numFmtId="1" fontId="0" fillId="3" borderId="0" xfId="0" applyNumberFormat="1" applyFill="1" applyBorder="1" applyAlignment="1">
      <alignment horizontal="center"/>
    </xf>
    <xf numFmtId="1" fontId="0" fillId="3" borderId="14" xfId="0" applyNumberFormat="1" applyFill="1" applyBorder="1" applyAlignment="1">
      <alignment horizontal="center"/>
    </xf>
    <xf numFmtId="164" fontId="0" fillId="0" borderId="15" xfId="0" applyNumberFormat="1" applyBorder="1" applyAlignment="1">
      <alignment horizontal="left"/>
    </xf>
    <xf numFmtId="0" fontId="0" fillId="0" borderId="3" xfId="0" applyBorder="1"/>
    <xf numFmtId="0" fontId="0" fillId="5" borderId="1" xfId="0" applyFill="1" applyBorder="1" applyAlignment="1" applyProtection="1">
      <alignment horizontal="center"/>
      <protection/>
    </xf>
    <xf numFmtId="2" fontId="0" fillId="0" borderId="2" xfId="0" applyNumberFormat="1" applyBorder="1" applyAlignment="1">
      <alignment horizontal="center"/>
    </xf>
    <xf numFmtId="2" fontId="0" fillId="0" borderId="3" xfId="0" applyNumberFormat="1" applyBorder="1" applyAlignment="1">
      <alignment horizontal="center"/>
    </xf>
    <xf numFmtId="2" fontId="0" fillId="0" borderId="4" xfId="0" applyNumberFormat="1" applyBorder="1" applyAlignment="1">
      <alignment horizontal="center"/>
    </xf>
    <xf numFmtId="1" fontId="0" fillId="4" borderId="16" xfId="0" applyNumberFormat="1" applyFill="1" applyBorder="1" applyAlignment="1">
      <alignment horizontal="center"/>
    </xf>
    <xf numFmtId="1" fontId="0" fillId="0" borderId="1" xfId="0" applyNumberFormat="1" applyFill="1" applyBorder="1" applyAlignment="1">
      <alignment horizontal="center"/>
    </xf>
    <xf numFmtId="1" fontId="0" fillId="4" borderId="1" xfId="0" applyNumberFormat="1" applyFill="1" applyBorder="1" applyAlignment="1">
      <alignment horizontal="center"/>
    </xf>
    <xf numFmtId="1" fontId="0" fillId="0" borderId="1" xfId="0" applyNumberFormat="1" applyBorder="1" applyAlignment="1">
      <alignment horizontal="center"/>
    </xf>
    <xf numFmtId="1" fontId="0" fillId="4" borderId="17" xfId="0" applyNumberFormat="1" applyFill="1" applyBorder="1" applyAlignment="1">
      <alignment horizontal="center"/>
    </xf>
    <xf numFmtId="1" fontId="0" fillId="0" borderId="2" xfId="0" applyNumberFormat="1" applyBorder="1" applyAlignment="1">
      <alignment horizontal="center"/>
    </xf>
    <xf numFmtId="1" fontId="0" fillId="4" borderId="3" xfId="0" applyNumberFormat="1" applyFill="1" applyBorder="1" applyAlignment="1">
      <alignment horizontal="center"/>
    </xf>
    <xf numFmtId="1" fontId="0" fillId="0" borderId="3" xfId="0" applyNumberFormat="1" applyBorder="1" applyAlignment="1">
      <alignment horizontal="center"/>
    </xf>
    <xf numFmtId="1" fontId="0" fillId="0" borderId="17" xfId="0" applyNumberFormat="1" applyBorder="1" applyAlignment="1">
      <alignment horizontal="center"/>
    </xf>
    <xf numFmtId="2" fontId="0" fillId="3" borderId="3" xfId="0" applyNumberFormat="1" applyFill="1" applyBorder="1" applyAlignment="1">
      <alignment horizontal="center"/>
    </xf>
    <xf numFmtId="9" fontId="0" fillId="3" borderId="3" xfId="15" applyFont="1" applyFill="1" applyBorder="1" applyAlignment="1">
      <alignment horizontal="center"/>
    </xf>
    <xf numFmtId="9" fontId="0" fillId="3" borderId="1" xfId="15" applyFont="1" applyFill="1" applyBorder="1" applyAlignment="1">
      <alignment horizontal="center"/>
    </xf>
    <xf numFmtId="9" fontId="0" fillId="6" borderId="3" xfId="15" applyFont="1" applyFill="1" applyBorder="1" applyAlignment="1">
      <alignment horizontal="center"/>
    </xf>
    <xf numFmtId="1" fontId="0" fillId="3" borderId="3" xfId="15" applyNumberFormat="1" applyFont="1" applyFill="1" applyBorder="1" applyAlignment="1">
      <alignment horizontal="center"/>
    </xf>
    <xf numFmtId="9" fontId="1" fillId="3" borderId="1" xfId="15" applyFont="1" applyFill="1" applyBorder="1" applyAlignment="1">
      <alignment horizontal="center"/>
    </xf>
    <xf numFmtId="165" fontId="0" fillId="3" borderId="1" xfId="15" applyNumberFormat="1" applyFont="1" applyFill="1" applyBorder="1" applyAlignment="1">
      <alignment horizontal="center"/>
    </xf>
    <xf numFmtId="1" fontId="0" fillId="3" borderId="1" xfId="0" applyNumberFormat="1" applyFill="1" applyBorder="1" applyAlignment="1">
      <alignment horizontal="center"/>
    </xf>
    <xf numFmtId="1" fontId="0" fillId="3" borderId="18" xfId="0" applyNumberFormat="1" applyFill="1" applyBorder="1" applyAlignment="1">
      <alignment horizontal="center"/>
    </xf>
    <xf numFmtId="1" fontId="8" fillId="7" borderId="10" xfId="0" applyNumberFormat="1" applyFont="1" applyFill="1" applyBorder="1" applyAlignment="1">
      <alignment horizontal="center"/>
    </xf>
    <xf numFmtId="0" fontId="8" fillId="4" borderId="19" xfId="0" applyFont="1" applyFill="1" applyBorder="1" applyAlignment="1">
      <alignment horizontal="center" wrapText="1"/>
    </xf>
    <xf numFmtId="0" fontId="8" fillId="0" borderId="20" xfId="0" applyFont="1" applyBorder="1" applyAlignment="1">
      <alignment horizontal="center" wrapText="1"/>
    </xf>
    <xf numFmtId="0" fontId="8" fillId="4" borderId="20" xfId="0" applyFont="1" applyFill="1" applyBorder="1" applyAlignment="1">
      <alignment horizontal="center" wrapText="1"/>
    </xf>
    <xf numFmtId="0" fontId="8" fillId="4" borderId="21" xfId="0" applyFont="1" applyFill="1" applyBorder="1" applyAlignment="1">
      <alignment horizontal="center" wrapText="1"/>
    </xf>
    <xf numFmtId="0" fontId="8" fillId="0" borderId="22" xfId="0" applyFont="1" applyBorder="1" applyAlignment="1">
      <alignment horizontal="center" wrapText="1"/>
    </xf>
    <xf numFmtId="0" fontId="8" fillId="0" borderId="23" xfId="0" applyFont="1" applyBorder="1" applyAlignment="1">
      <alignment horizontal="center" wrapText="1"/>
    </xf>
    <xf numFmtId="0" fontId="8" fillId="0" borderId="2" xfId="0" applyFont="1" applyBorder="1" applyAlignment="1">
      <alignment horizontal="left" wrapText="1"/>
    </xf>
    <xf numFmtId="0" fontId="8" fillId="0" borderId="3" xfId="0" applyFont="1" applyBorder="1"/>
    <xf numFmtId="0" fontId="8" fillId="0" borderId="3" xfId="0" applyFont="1" applyBorder="1" applyAlignment="1">
      <alignment horizontal="left" wrapText="1"/>
    </xf>
    <xf numFmtId="0" fontId="0" fillId="5" borderId="6" xfId="0" applyFill="1" applyBorder="1" applyAlignment="1" applyProtection="1">
      <alignment horizontal="center"/>
      <protection/>
    </xf>
    <xf numFmtId="0" fontId="0" fillId="5" borderId="7" xfId="0" applyFill="1" applyBorder="1" applyAlignment="1" applyProtection="1">
      <alignment horizontal="center"/>
      <protection/>
    </xf>
    <xf numFmtId="0" fontId="0" fillId="5" borderId="3" xfId="0" applyFill="1" applyBorder="1" applyAlignment="1" applyProtection="1">
      <alignment horizontal="center"/>
      <protection/>
    </xf>
    <xf numFmtId="0" fontId="0" fillId="5" borderId="4" xfId="0" applyFill="1" applyBorder="1" applyAlignment="1" applyProtection="1">
      <alignment horizontal="center"/>
      <protection/>
    </xf>
    <xf numFmtId="1" fontId="0" fillId="4" borderId="2" xfId="0" applyNumberFormat="1" applyFill="1" applyBorder="1" applyAlignment="1">
      <alignment horizontal="center"/>
    </xf>
    <xf numFmtId="1" fontId="0" fillId="0" borderId="3" xfId="0" applyNumberFormat="1" applyFill="1" applyBorder="1" applyAlignment="1">
      <alignment horizontal="center"/>
    </xf>
    <xf numFmtId="1" fontId="0" fillId="4" borderId="4" xfId="0" applyNumberFormat="1" applyFill="1" applyBorder="1" applyAlignment="1">
      <alignment horizontal="center"/>
    </xf>
    <xf numFmtId="1" fontId="0" fillId="0" borderId="4" xfId="0" applyNumberFormat="1" applyBorder="1" applyAlignment="1">
      <alignment horizontal="center"/>
    </xf>
    <xf numFmtId="1" fontId="0" fillId="4" borderId="5" xfId="0" applyNumberFormat="1" applyFill="1" applyBorder="1" applyAlignment="1">
      <alignment horizontal="center"/>
    </xf>
    <xf numFmtId="1" fontId="0" fillId="4" borderId="7" xfId="0" applyNumberFormat="1" applyFill="1" applyBorder="1" applyAlignment="1">
      <alignment horizontal="center"/>
    </xf>
    <xf numFmtId="1" fontId="0" fillId="0" borderId="7" xfId="0" applyNumberFormat="1" applyBorder="1" applyAlignment="1">
      <alignment horizontal="center"/>
    </xf>
    <xf numFmtId="0" fontId="8" fillId="3" borderId="5" xfId="0" applyFont="1" applyFill="1" applyBorder="1" applyAlignment="1">
      <alignment horizontal="center"/>
    </xf>
    <xf numFmtId="0" fontId="8" fillId="3" borderId="6" xfId="0" applyFont="1" applyFill="1" applyBorder="1" applyAlignment="1">
      <alignment horizontal="center"/>
    </xf>
    <xf numFmtId="0" fontId="8" fillId="3" borderId="7" xfId="0" applyFont="1" applyFill="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9" fillId="3" borderId="5" xfId="0" applyFont="1" applyFill="1" applyBorder="1" applyAlignment="1" quotePrefix="1">
      <alignment horizontal="center"/>
    </xf>
    <xf numFmtId="0" fontId="5" fillId="5" borderId="0" xfId="0" applyFont="1" applyFill="1" applyAlignment="1">
      <alignment horizontal="center"/>
    </xf>
    <xf numFmtId="49" fontId="5" fillId="5" borderId="0" xfId="0" applyNumberFormat="1" applyFont="1" applyFill="1" applyAlignment="1">
      <alignment horizontal="center"/>
    </xf>
    <xf numFmtId="49" fontId="8" fillId="0" borderId="5" xfId="0" applyNumberFormat="1" applyFont="1" applyFill="1" applyBorder="1" applyAlignment="1">
      <alignment horizontal="center"/>
    </xf>
    <xf numFmtId="49" fontId="8" fillId="0" borderId="6" xfId="0" applyNumberFormat="1" applyFont="1" applyFill="1" applyBorder="1" applyAlignment="1">
      <alignment horizontal="center"/>
    </xf>
    <xf numFmtId="49" fontId="8" fillId="0" borderId="7" xfId="0" applyNumberFormat="1" applyFont="1" applyFill="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0" fillId="0" borderId="10" xfId="0" applyBorder="1" applyAlignment="1">
      <alignment horizontal="center"/>
    </xf>
    <xf numFmtId="0" fontId="0" fillId="0" borderId="8" xfId="0" applyBorder="1" applyAlignment="1">
      <alignment horizontal="center"/>
    </xf>
    <xf numFmtId="0" fontId="8" fillId="0" borderId="26" xfId="0" applyFont="1" applyBorder="1" applyAlignment="1">
      <alignment horizontal="center"/>
    </xf>
    <xf numFmtId="0" fontId="8" fillId="0" borderId="27" xfId="0" applyFont="1" applyBorder="1" applyAlignment="1">
      <alignment horizontal="center"/>
    </xf>
    <xf numFmtId="0" fontId="8" fillId="0" borderId="28" xfId="0" applyFont="1" applyBorder="1" applyAlignment="1">
      <alignment horizont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cellXfs>
  <cellStyles count="6">
    <cellStyle name="Normal" xfId="0"/>
    <cellStyle name="Percent" xfId="15"/>
    <cellStyle name="Currency" xfId="16"/>
    <cellStyle name="Currency [0]" xfId="17"/>
    <cellStyle name="Comma" xfId="18"/>
    <cellStyle name="Comma [0]" xfId="19"/>
  </cellStyles>
  <dxfs count="3">
    <dxf>
      <font>
        <b/>
        <i val="0"/>
        <color indexed="10"/>
        <condense val="0"/>
        <extend val="0"/>
      </font>
      <border/>
    </dxf>
    <dxf>
      <font>
        <b/>
        <i val="0"/>
        <color indexed="10"/>
        <condense val="0"/>
        <extend val="0"/>
      </font>
      <border/>
    </dxf>
    <dxf>
      <font>
        <b/>
        <i val="0"/>
        <color indexed="10"/>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409575</xdr:colOff>
      <xdr:row>0</xdr:row>
      <xdr:rowOff>0</xdr:rowOff>
    </xdr:from>
    <xdr:to>
      <xdr:col>17</xdr:col>
      <xdr:colOff>76200</xdr:colOff>
      <xdr:row>3</xdr:row>
      <xdr:rowOff>123825</xdr:rowOff>
    </xdr:to>
    <xdr:pic>
      <xdr:nvPicPr>
        <xdr:cNvPr id="3" name="Picture 1618" descr="http://khanet/Marketing/Public/logo/Microsoft/primA.em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925050" y="0"/>
          <a:ext cx="210502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22"/>
  <sheetViews>
    <sheetView tabSelected="1" workbookViewId="0" topLeftCell="B6">
      <selection activeCell="C33" sqref="C33"/>
    </sheetView>
  </sheetViews>
  <sheetFormatPr defaultColWidth="9.140625" defaultRowHeight="15"/>
  <cols>
    <col min="2" max="2" width="22.8515625" style="0" bestFit="1" customWidth="1"/>
    <col min="3" max="3" width="19.28125" style="0" bestFit="1" customWidth="1"/>
    <col min="40" max="41" width="21.00390625" style="0" bestFit="1" customWidth="1"/>
    <col min="42" max="42" width="21.140625" style="0" bestFit="1" customWidth="1"/>
    <col min="43" max="44" width="21.421875" style="0" bestFit="1" customWidth="1"/>
  </cols>
  <sheetData>
    <row r="1" spans="1:50" ht="25.5">
      <c r="A1" s="3" t="s">
        <v>0</v>
      </c>
      <c r="B1" s="4"/>
      <c r="C1" s="4"/>
      <c r="D1" s="5"/>
      <c r="E1" s="5"/>
      <c r="F1" s="6"/>
      <c r="G1" s="6"/>
      <c r="H1" s="6"/>
      <c r="I1" s="2"/>
      <c r="J1" s="1"/>
      <c r="K1" s="1"/>
      <c r="L1" s="1"/>
      <c r="M1" s="1"/>
      <c r="N1" s="1"/>
      <c r="O1" s="1"/>
      <c r="P1" s="1"/>
      <c r="Q1" s="1"/>
      <c r="R1" s="1"/>
      <c r="S1" s="1"/>
      <c r="T1" s="1"/>
      <c r="U1" s="1"/>
      <c r="V1" s="1"/>
      <c r="W1" s="7"/>
      <c r="X1" s="7"/>
      <c r="Y1" s="7"/>
      <c r="Z1" s="8"/>
      <c r="AA1" s="8"/>
      <c r="AB1" s="8"/>
      <c r="AC1" s="8"/>
      <c r="AD1" s="7"/>
      <c r="AE1" s="7"/>
      <c r="AF1" s="7"/>
      <c r="AG1" s="7"/>
      <c r="AH1" s="7"/>
      <c r="AI1" s="7"/>
      <c r="AJ1" s="7"/>
      <c r="AK1" s="7"/>
      <c r="AL1" s="7"/>
      <c r="AM1" s="7"/>
      <c r="AN1" s="7"/>
      <c r="AO1" s="7"/>
      <c r="AP1" s="7"/>
      <c r="AQ1" s="7"/>
      <c r="AR1" s="7"/>
      <c r="AS1" s="7"/>
      <c r="AT1" s="7"/>
      <c r="AU1" s="7"/>
      <c r="AV1" s="7"/>
      <c r="AW1" s="7"/>
      <c r="AX1" s="7"/>
    </row>
    <row r="2" spans="1:50" ht="18" customHeight="1">
      <c r="A2" s="9"/>
      <c r="B2" s="10"/>
      <c r="C2" s="10"/>
      <c r="D2" s="11"/>
      <c r="E2" s="11"/>
      <c r="F2" s="12"/>
      <c r="G2" s="12"/>
      <c r="H2" s="12"/>
      <c r="I2" s="2"/>
      <c r="J2" s="1"/>
      <c r="K2" s="1"/>
      <c r="L2" s="1"/>
      <c r="M2" s="1"/>
      <c r="N2" s="1"/>
      <c r="O2" s="1"/>
      <c r="P2" s="1"/>
      <c r="Q2" s="1"/>
      <c r="R2" s="1"/>
      <c r="S2" s="1"/>
      <c r="T2" s="1"/>
      <c r="U2" s="1"/>
      <c r="V2" s="1"/>
      <c r="W2" s="7"/>
      <c r="X2" s="7"/>
      <c r="Y2" s="7"/>
      <c r="Z2" s="8"/>
      <c r="AA2" s="8"/>
      <c r="AB2" s="8"/>
      <c r="AC2" s="8"/>
      <c r="AD2" s="7"/>
      <c r="AE2" s="7"/>
      <c r="AF2" s="7"/>
      <c r="AG2" s="7"/>
      <c r="AH2" s="7"/>
      <c r="AI2" s="7"/>
      <c r="AJ2" s="7"/>
      <c r="AK2" s="7"/>
      <c r="AL2" s="7"/>
      <c r="AM2" s="7"/>
      <c r="AN2" s="7"/>
      <c r="AO2" s="7"/>
      <c r="AP2" s="7"/>
      <c r="AQ2" s="7"/>
      <c r="AR2" s="7"/>
      <c r="AS2" s="7"/>
      <c r="AT2" s="7"/>
      <c r="AU2" s="7"/>
      <c r="AV2" s="7"/>
      <c r="AW2" s="7"/>
      <c r="AX2" s="7"/>
    </row>
    <row r="3" spans="1:50" ht="15.75">
      <c r="A3" s="13" t="s">
        <v>1</v>
      </c>
      <c r="C3" s="14" t="s">
        <v>2</v>
      </c>
      <c r="D3" s="104" t="s">
        <v>60</v>
      </c>
      <c r="E3" s="104"/>
      <c r="F3" s="104"/>
      <c r="G3" s="104"/>
      <c r="H3" s="104"/>
      <c r="I3" s="2"/>
      <c r="J3" s="1"/>
      <c r="K3" s="1"/>
      <c r="L3" s="1"/>
      <c r="M3" s="1"/>
      <c r="N3" s="1"/>
      <c r="P3" s="1"/>
      <c r="Q3" s="1"/>
      <c r="R3" s="1"/>
      <c r="S3" s="1"/>
      <c r="T3" s="1"/>
      <c r="U3" s="1"/>
      <c r="V3" s="1"/>
      <c r="W3" s="7"/>
      <c r="X3" s="7"/>
      <c r="Y3" s="7"/>
      <c r="Z3" s="8"/>
      <c r="AA3" s="8"/>
      <c r="AB3" s="8"/>
      <c r="AC3" s="8"/>
      <c r="AD3" s="7"/>
      <c r="AE3" s="7"/>
      <c r="AF3" s="7"/>
      <c r="AG3" s="7"/>
      <c r="AH3" s="7"/>
      <c r="AI3" s="7"/>
      <c r="AJ3" s="7"/>
      <c r="AK3" s="7"/>
      <c r="AL3" s="7"/>
      <c r="AM3" s="7"/>
      <c r="AN3" s="7"/>
      <c r="AO3" s="7"/>
      <c r="AP3" s="7"/>
      <c r="AQ3" s="7"/>
      <c r="AR3" s="7"/>
      <c r="AS3" s="7"/>
      <c r="AT3" s="7"/>
      <c r="AU3" s="7"/>
      <c r="AV3" s="7"/>
      <c r="AW3" s="7"/>
      <c r="AX3" s="7"/>
    </row>
    <row r="4" spans="1:50" ht="15.75">
      <c r="A4" s="13" t="s">
        <v>3</v>
      </c>
      <c r="C4" s="14" t="s">
        <v>4</v>
      </c>
      <c r="D4" s="105"/>
      <c r="E4" s="105"/>
      <c r="F4" s="105"/>
      <c r="G4" s="105"/>
      <c r="H4" s="105"/>
      <c r="I4" s="1"/>
      <c r="J4" s="1"/>
      <c r="K4" s="1"/>
      <c r="L4" s="1"/>
      <c r="M4" s="1"/>
      <c r="N4" s="1"/>
      <c r="O4" s="1"/>
      <c r="P4" s="1"/>
      <c r="Q4" s="1"/>
      <c r="R4" s="1"/>
      <c r="S4" s="1"/>
      <c r="T4" s="1"/>
      <c r="U4" s="1"/>
      <c r="V4" s="1"/>
      <c r="W4" s="15"/>
      <c r="X4" s="15"/>
      <c r="Y4" s="15"/>
      <c r="Z4" s="16"/>
      <c r="AA4" s="16"/>
      <c r="AB4" s="16"/>
      <c r="AC4" s="16"/>
      <c r="AD4" s="15"/>
      <c r="AE4" s="15"/>
      <c r="AF4" s="15"/>
      <c r="AG4" s="15"/>
      <c r="AH4" s="15"/>
      <c r="AI4" s="15"/>
      <c r="AJ4" s="15"/>
      <c r="AK4" s="15"/>
      <c r="AL4" s="15"/>
      <c r="AM4" s="15"/>
      <c r="AN4" s="15"/>
      <c r="AO4" s="15"/>
      <c r="AP4" s="15"/>
      <c r="AQ4" s="15"/>
      <c r="AR4" s="15"/>
      <c r="AS4" s="15"/>
      <c r="AT4" s="15"/>
      <c r="AU4" s="15"/>
      <c r="AV4" s="15"/>
      <c r="AW4" s="15"/>
      <c r="AX4" s="15"/>
    </row>
    <row r="5" spans="1:50" ht="9" customHeight="1">
      <c r="A5" s="13"/>
      <c r="C5" s="14"/>
      <c r="D5" s="17"/>
      <c r="E5" s="17"/>
      <c r="F5" s="17"/>
      <c r="G5" s="17"/>
      <c r="H5" s="17"/>
      <c r="I5" s="1"/>
      <c r="J5" s="1"/>
      <c r="K5" s="1"/>
      <c r="L5" s="1"/>
      <c r="M5" s="1"/>
      <c r="N5" s="1"/>
      <c r="O5" s="1"/>
      <c r="P5" s="1"/>
      <c r="Q5" s="1"/>
      <c r="R5" s="1"/>
      <c r="S5" s="1"/>
      <c r="T5" s="1"/>
      <c r="U5" s="1"/>
      <c r="V5" s="1"/>
      <c r="W5" s="15"/>
      <c r="X5" s="15"/>
      <c r="Y5" s="15"/>
      <c r="Z5" s="16"/>
      <c r="AA5" s="16"/>
      <c r="AB5" s="16"/>
      <c r="AC5" s="16"/>
      <c r="AD5" s="15"/>
      <c r="AE5" s="15"/>
      <c r="AF5" s="15"/>
      <c r="AG5" s="15"/>
      <c r="AH5" s="15"/>
      <c r="AI5" s="15"/>
      <c r="AJ5" s="15"/>
      <c r="AK5" s="15"/>
      <c r="AL5" s="15"/>
      <c r="AM5" s="15"/>
      <c r="AN5" s="15"/>
      <c r="AO5" s="15"/>
      <c r="AP5" s="15"/>
      <c r="AQ5" s="15"/>
      <c r="AR5" s="15"/>
      <c r="AS5" s="15"/>
      <c r="AT5" s="15"/>
      <c r="AU5" s="15"/>
      <c r="AV5" s="15"/>
      <c r="AW5" s="15"/>
      <c r="AX5" s="15"/>
    </row>
    <row r="6" spans="1:50" ht="15.75">
      <c r="A6" s="13"/>
      <c r="B6" s="18"/>
      <c r="C6" s="14"/>
      <c r="D6" s="17"/>
      <c r="E6" s="17"/>
      <c r="F6" s="106" t="s">
        <v>5</v>
      </c>
      <c r="G6" s="107"/>
      <c r="H6" s="108"/>
      <c r="I6" s="109" t="s">
        <v>6</v>
      </c>
      <c r="J6" s="110"/>
      <c r="K6" s="110"/>
      <c r="L6" s="110"/>
      <c r="M6" s="110"/>
      <c r="N6" s="110"/>
      <c r="O6" s="111"/>
      <c r="P6" s="109" t="s">
        <v>7</v>
      </c>
      <c r="Q6" s="110"/>
      <c r="R6" s="110"/>
      <c r="S6" s="110"/>
      <c r="T6" s="110"/>
      <c r="U6" s="110"/>
      <c r="V6" s="111"/>
      <c r="W6" s="98" t="s">
        <v>8</v>
      </c>
      <c r="X6" s="99"/>
      <c r="Y6" s="100"/>
      <c r="Z6" s="98" t="s">
        <v>9</v>
      </c>
      <c r="AA6" s="99"/>
      <c r="AB6" s="99"/>
      <c r="AC6" s="100"/>
      <c r="AD6" s="103" t="s">
        <v>10</v>
      </c>
      <c r="AE6" s="99"/>
      <c r="AF6" s="100"/>
      <c r="AG6" s="98" t="s">
        <v>11</v>
      </c>
      <c r="AH6" s="99"/>
      <c r="AI6" s="99"/>
      <c r="AJ6" s="99"/>
      <c r="AK6" s="99"/>
      <c r="AL6" s="99"/>
      <c r="AM6" s="100"/>
      <c r="AN6" s="98" t="s">
        <v>12</v>
      </c>
      <c r="AO6" s="100"/>
      <c r="AP6" s="98" t="s">
        <v>13</v>
      </c>
      <c r="AQ6" s="99"/>
      <c r="AR6" s="100"/>
      <c r="AS6" s="98" t="s">
        <v>14</v>
      </c>
      <c r="AT6" s="99"/>
      <c r="AU6" s="100"/>
      <c r="AV6" s="98" t="s">
        <v>15</v>
      </c>
      <c r="AW6" s="99"/>
      <c r="AX6" s="100"/>
    </row>
    <row r="7" spans="1:51" ht="45" customHeight="1" thickBot="1">
      <c r="A7" s="84" t="s">
        <v>16</v>
      </c>
      <c r="B7" s="85" t="s">
        <v>17</v>
      </c>
      <c r="C7" s="86" t="s">
        <v>18</v>
      </c>
      <c r="D7" s="21" t="s">
        <v>19</v>
      </c>
      <c r="E7" s="22" t="s">
        <v>20</v>
      </c>
      <c r="F7" s="20" t="s">
        <v>21</v>
      </c>
      <c r="G7" s="21" t="s">
        <v>22</v>
      </c>
      <c r="H7" s="22" t="s">
        <v>23</v>
      </c>
      <c r="I7" s="23" t="s">
        <v>24</v>
      </c>
      <c r="J7" s="21" t="s">
        <v>25</v>
      </c>
      <c r="K7" s="24" t="s">
        <v>26</v>
      </c>
      <c r="L7" s="21" t="s">
        <v>27</v>
      </c>
      <c r="M7" s="24" t="s">
        <v>28</v>
      </c>
      <c r="N7" s="21" t="s">
        <v>29</v>
      </c>
      <c r="O7" s="25" t="s">
        <v>30</v>
      </c>
      <c r="P7" s="20" t="s">
        <v>24</v>
      </c>
      <c r="Q7" s="24" t="s">
        <v>31</v>
      </c>
      <c r="R7" s="21" t="s">
        <v>32</v>
      </c>
      <c r="S7" s="24" t="s">
        <v>27</v>
      </c>
      <c r="T7" s="21" t="s">
        <v>28</v>
      </c>
      <c r="U7" s="24" t="s">
        <v>29</v>
      </c>
      <c r="V7" s="22" t="s">
        <v>30</v>
      </c>
      <c r="W7" s="26"/>
      <c r="X7" s="26"/>
      <c r="Y7" s="26"/>
      <c r="Z7" s="26" t="s">
        <v>33</v>
      </c>
      <c r="AA7" s="26" t="s">
        <v>34</v>
      </c>
      <c r="AB7" s="26" t="s">
        <v>35</v>
      </c>
      <c r="AC7" s="26" t="s">
        <v>36</v>
      </c>
      <c r="AD7" s="26" t="s">
        <v>24</v>
      </c>
      <c r="AE7" s="26" t="s">
        <v>25</v>
      </c>
      <c r="AF7" s="26" t="s">
        <v>26</v>
      </c>
      <c r="AG7" s="26" t="s">
        <v>24</v>
      </c>
      <c r="AH7" s="26" t="s">
        <v>25</v>
      </c>
      <c r="AI7" s="26" t="s">
        <v>26</v>
      </c>
      <c r="AJ7" s="26" t="s">
        <v>27</v>
      </c>
      <c r="AK7" s="26" t="s">
        <v>28</v>
      </c>
      <c r="AL7" s="26" t="s">
        <v>37</v>
      </c>
      <c r="AM7" s="26" t="s">
        <v>30</v>
      </c>
      <c r="AN7" s="26" t="s">
        <v>38</v>
      </c>
      <c r="AO7" s="26" t="s">
        <v>39</v>
      </c>
      <c r="AP7" s="27" t="s">
        <v>40</v>
      </c>
      <c r="AQ7" s="27" t="s">
        <v>41</v>
      </c>
      <c r="AR7" s="27" t="s">
        <v>42</v>
      </c>
      <c r="AS7" s="27" t="s">
        <v>40</v>
      </c>
      <c r="AT7" s="27" t="s">
        <v>41</v>
      </c>
      <c r="AU7" s="27" t="s">
        <v>42</v>
      </c>
      <c r="AV7" s="27" t="s">
        <v>40</v>
      </c>
      <c r="AW7" s="27" t="s">
        <v>41</v>
      </c>
      <c r="AX7" s="27" t="s">
        <v>42</v>
      </c>
      <c r="AY7" s="19"/>
    </row>
    <row r="8" spans="1:50" ht="15">
      <c r="A8" s="48">
        <v>220</v>
      </c>
      <c r="B8" s="49" t="s">
        <v>47</v>
      </c>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2"/>
    </row>
    <row r="9" spans="1:50" ht="15.75" thickBot="1">
      <c r="A9" s="53"/>
      <c r="B9" s="54" t="s">
        <v>56</v>
      </c>
      <c r="C9" s="54" t="s">
        <v>46</v>
      </c>
      <c r="D9" s="89">
        <v>96</v>
      </c>
      <c r="E9" s="90" t="s">
        <v>43</v>
      </c>
      <c r="F9" s="56">
        <f aca="true" t="shared" si="0" ref="F9:H9">IF($E9="Avg",W9,(IF($E9="Eq","N/A","RATE?")))</f>
        <v>6.65</v>
      </c>
      <c r="G9" s="57">
        <f t="shared" si="0"/>
        <v>0.51</v>
      </c>
      <c r="H9" s="58">
        <f t="shared" si="0"/>
        <v>0.62</v>
      </c>
      <c r="I9" s="91">
        <f aca="true" t="shared" si="1" ref="I9">IF($E9="Avg",EVEN($D9*F9),(IF($E9="Eq",AV9,0)))</f>
        <v>640</v>
      </c>
      <c r="J9" s="92">
        <f aca="true" t="shared" si="2" ref="J9:K9">IF($E9="Avg",(ROUND($D9*G9,0)),(IF($E9="Eq",AW9,0)))</f>
        <v>49</v>
      </c>
      <c r="K9" s="65">
        <f t="shared" si="2"/>
        <v>60</v>
      </c>
      <c r="L9" s="66">
        <f aca="true" t="shared" si="3" ref="L9">ROUND($J9*Z9,0)</f>
        <v>10</v>
      </c>
      <c r="M9" s="65">
        <f aca="true" t="shared" si="4" ref="M9">J9-L9</f>
        <v>39</v>
      </c>
      <c r="N9" s="66">
        <f aca="true" t="shared" si="5" ref="N9">ROUND($K9*AB9,0)</f>
        <v>39</v>
      </c>
      <c r="O9" s="93">
        <f aca="true" t="shared" si="6" ref="O9">K9-N9</f>
        <v>21</v>
      </c>
      <c r="P9" s="64">
        <f aca="true" t="shared" si="7" ref="P9:R9">AD9*I9</f>
        <v>640</v>
      </c>
      <c r="Q9" s="65">
        <f t="shared" si="7"/>
        <v>49</v>
      </c>
      <c r="R9" s="66">
        <f t="shared" si="7"/>
        <v>60</v>
      </c>
      <c r="S9" s="65">
        <f aca="true" t="shared" si="8" ref="S9">ROUND($Q9*$Z9,0)</f>
        <v>10</v>
      </c>
      <c r="T9" s="66">
        <f aca="true" t="shared" si="9" ref="T9">Q9-S9</f>
        <v>39</v>
      </c>
      <c r="U9" s="65">
        <f aca="true" t="shared" si="10" ref="U9">ROUND($R9*$AB9,0)</f>
        <v>39</v>
      </c>
      <c r="V9" s="94">
        <f aca="true" t="shared" si="11" ref="V9">R9-U9</f>
        <v>21</v>
      </c>
      <c r="W9" s="68">
        <v>6.65</v>
      </c>
      <c r="X9" s="68">
        <v>0.51</v>
      </c>
      <c r="Y9" s="68">
        <v>0.62</v>
      </c>
      <c r="Z9" s="70">
        <v>0.2</v>
      </c>
      <c r="AA9" s="70">
        <v>0.8</v>
      </c>
      <c r="AB9" s="70">
        <v>0.65</v>
      </c>
      <c r="AC9" s="70">
        <v>0.35</v>
      </c>
      <c r="AD9" s="70">
        <v>1</v>
      </c>
      <c r="AE9" s="70">
        <v>1</v>
      </c>
      <c r="AF9" s="70">
        <v>1</v>
      </c>
      <c r="AG9" s="72">
        <f aca="true" t="shared" si="12" ref="AG9:AI9">I9-P9</f>
        <v>0</v>
      </c>
      <c r="AH9" s="72">
        <f t="shared" si="12"/>
        <v>0</v>
      </c>
      <c r="AI9" s="72">
        <f t="shared" si="12"/>
        <v>0</v>
      </c>
      <c r="AJ9" s="72">
        <f aca="true" t="shared" si="13" ref="AJ9">Z9*AH9</f>
        <v>0</v>
      </c>
      <c r="AK9" s="72">
        <f aca="true" t="shared" si="14" ref="AK9">AH9-AJ9</f>
        <v>0</v>
      </c>
      <c r="AL9" s="72">
        <f aca="true" t="shared" si="15" ref="AL9">AI9*AB9</f>
        <v>0</v>
      </c>
      <c r="AM9" s="72">
        <f aca="true" t="shared" si="16" ref="AM9">AI9-AL9</f>
        <v>0</v>
      </c>
      <c r="AN9" s="70" t="s">
        <v>44</v>
      </c>
      <c r="AO9" s="70" t="s">
        <v>44</v>
      </c>
      <c r="AP9" s="70" t="s">
        <v>48</v>
      </c>
      <c r="AQ9" s="70" t="s">
        <v>49</v>
      </c>
      <c r="AR9" s="70" t="s">
        <v>50</v>
      </c>
      <c r="AS9" s="74">
        <v>0.87</v>
      </c>
      <c r="AT9" s="74">
        <v>0.83</v>
      </c>
      <c r="AU9" s="74">
        <v>0.77</v>
      </c>
      <c r="AV9" s="75">
        <f>IF(D9=0,,EVEN(6.06*($D9)+123.56))</f>
        <v>706</v>
      </c>
      <c r="AW9" s="75">
        <f>IF(D9=0,,0.49*($D9)+3.73)</f>
        <v>50.769999999999996</v>
      </c>
      <c r="AX9" s="76">
        <f>IF(D9=0,,0.55*($D9)+17.65)</f>
        <v>70.45</v>
      </c>
    </row>
    <row r="10" spans="1:50" ht="15">
      <c r="A10" s="44"/>
      <c r="B10" s="44"/>
      <c r="D10" s="1"/>
      <c r="E10" s="1"/>
      <c r="F10" s="1"/>
      <c r="G10" s="1"/>
      <c r="H10" s="45" t="s">
        <v>55</v>
      </c>
      <c r="I10" s="47">
        <f>SUM(I9)</f>
        <v>640</v>
      </c>
      <c r="J10" s="77">
        <f aca="true" t="shared" si="17" ref="J10:V10">SUM(J9)</f>
        <v>49</v>
      </c>
      <c r="K10" s="47">
        <f t="shared" si="17"/>
        <v>60</v>
      </c>
      <c r="L10" s="77">
        <f t="shared" si="17"/>
        <v>10</v>
      </c>
      <c r="M10" s="47">
        <f t="shared" si="17"/>
        <v>39</v>
      </c>
      <c r="N10" s="77">
        <f t="shared" si="17"/>
        <v>39</v>
      </c>
      <c r="O10" s="47">
        <f t="shared" si="17"/>
        <v>21</v>
      </c>
      <c r="P10" s="77">
        <f t="shared" si="17"/>
        <v>640</v>
      </c>
      <c r="Q10" s="47">
        <f t="shared" si="17"/>
        <v>49</v>
      </c>
      <c r="R10" s="77">
        <f t="shared" si="17"/>
        <v>60</v>
      </c>
      <c r="S10" s="47">
        <f t="shared" si="17"/>
        <v>10</v>
      </c>
      <c r="T10" s="77">
        <f t="shared" si="17"/>
        <v>39</v>
      </c>
      <c r="U10" s="47">
        <f t="shared" si="17"/>
        <v>39</v>
      </c>
      <c r="V10" s="77">
        <f t="shared" si="17"/>
        <v>21</v>
      </c>
      <c r="W10" s="7"/>
      <c r="X10" s="7"/>
      <c r="Y10" s="7"/>
      <c r="Z10" s="46"/>
      <c r="AA10" s="46"/>
      <c r="AB10" s="46"/>
      <c r="AC10" s="46"/>
      <c r="AD10" s="7"/>
      <c r="AE10" s="7"/>
      <c r="AF10" s="7"/>
      <c r="AG10" s="36">
        <f>SUM(AG9)</f>
        <v>0</v>
      </c>
      <c r="AH10" s="36">
        <f aca="true" t="shared" si="18" ref="AH10:AM10">SUM(AH9)</f>
        <v>0</v>
      </c>
      <c r="AI10" s="36">
        <f t="shared" si="18"/>
        <v>0</v>
      </c>
      <c r="AJ10" s="36">
        <f t="shared" si="18"/>
        <v>0</v>
      </c>
      <c r="AK10" s="36">
        <f t="shared" si="18"/>
        <v>0</v>
      </c>
      <c r="AL10" s="36">
        <f t="shared" si="18"/>
        <v>0</v>
      </c>
      <c r="AM10" s="36">
        <f t="shared" si="18"/>
        <v>0</v>
      </c>
      <c r="AN10" s="7"/>
      <c r="AO10" s="7"/>
      <c r="AP10" s="7"/>
      <c r="AQ10" s="7"/>
      <c r="AR10" s="7"/>
      <c r="AS10" s="7"/>
      <c r="AT10" s="7"/>
      <c r="AU10" s="7"/>
      <c r="AV10" s="7"/>
      <c r="AW10" s="7"/>
      <c r="AX10" s="7"/>
    </row>
    <row r="12" ht="15.75" thickBot="1"/>
    <row r="13" spans="1:50" ht="15">
      <c r="A13" s="48">
        <v>220</v>
      </c>
      <c r="B13" s="49" t="s">
        <v>47</v>
      </c>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2"/>
    </row>
    <row r="14" spans="1:50" ht="15">
      <c r="A14" s="50"/>
      <c r="B14" s="38" t="s">
        <v>57</v>
      </c>
      <c r="C14" s="38" t="s">
        <v>46</v>
      </c>
      <c r="D14" s="87">
        <v>28</v>
      </c>
      <c r="E14" s="88" t="s">
        <v>43</v>
      </c>
      <c r="F14" s="28">
        <f aca="true" t="shared" si="19" ref="F14:H15">IF($E14="Avg",W14,(IF($E14="Eq","N/A","RATE?")))</f>
        <v>6.65</v>
      </c>
      <c r="G14" s="29">
        <f aca="true" t="shared" si="20" ref="G14">IF($E14="Avg",X14,(IF($E14="Eq","N/A","RATE?")))</f>
        <v>0.51</v>
      </c>
      <c r="H14" s="30">
        <f aca="true" t="shared" si="21" ref="H14">IF($E14="Avg",Y14,(IF($E14="Eq","N/A","RATE?")))</f>
        <v>0.62</v>
      </c>
      <c r="I14" s="95">
        <f aca="true" t="shared" si="22" ref="I14:I15">IF($E14="Avg",EVEN($D14*F14),(IF($E14="Eq",AV14,0)))</f>
        <v>188</v>
      </c>
      <c r="J14" s="43">
        <f aca="true" t="shared" si="23" ref="J14:J15">IF($E14="Avg",(ROUND($D14*G14,0)),(IF($E14="Eq",AW14,0)))</f>
        <v>14</v>
      </c>
      <c r="K14" s="40">
        <f aca="true" t="shared" si="24" ref="K14:K15">IF($E14="Avg",(ROUND($D14*H14,0)),(IF($E14="Eq",AX14,0)))</f>
        <v>17</v>
      </c>
      <c r="L14" s="41">
        <f aca="true" t="shared" si="25" ref="L14:L15">ROUND($J14*Z14,0)</f>
        <v>3</v>
      </c>
      <c r="M14" s="40">
        <f aca="true" t="shared" si="26" ref="M14:M15">J14-L14</f>
        <v>11</v>
      </c>
      <c r="N14" s="41">
        <f aca="true" t="shared" si="27" ref="N14:N15">ROUND($K14*AB14,0)</f>
        <v>11</v>
      </c>
      <c r="O14" s="96">
        <f aca="true" t="shared" si="28" ref="O14:O15">K14-N14</f>
        <v>6</v>
      </c>
      <c r="P14" s="39">
        <f aca="true" t="shared" si="29" ref="P14:R15">AD14*I14</f>
        <v>188</v>
      </c>
      <c r="Q14" s="40">
        <f aca="true" t="shared" si="30" ref="Q14">AE14*J14</f>
        <v>14</v>
      </c>
      <c r="R14" s="41">
        <f aca="true" t="shared" si="31" ref="R14">AF14*K14</f>
        <v>17</v>
      </c>
      <c r="S14" s="40">
        <f aca="true" t="shared" si="32" ref="S14:S15">ROUND($Q14*$Z14,0)</f>
        <v>3</v>
      </c>
      <c r="T14" s="41">
        <f aca="true" t="shared" si="33" ref="T14:T15">Q14-S14</f>
        <v>11</v>
      </c>
      <c r="U14" s="40">
        <f aca="true" t="shared" si="34" ref="U14:U15">ROUND($R14*$AB14,0)</f>
        <v>11</v>
      </c>
      <c r="V14" s="97">
        <f aca="true" t="shared" si="35" ref="V14:V15">R14-U14</f>
        <v>6</v>
      </c>
      <c r="W14" s="42">
        <v>6.65</v>
      </c>
      <c r="X14" s="42">
        <v>0.51</v>
      </c>
      <c r="Y14" s="42">
        <v>0.62</v>
      </c>
      <c r="Z14" s="33">
        <v>0.2</v>
      </c>
      <c r="AA14" s="33">
        <v>0.8</v>
      </c>
      <c r="AB14" s="33">
        <v>0.65</v>
      </c>
      <c r="AC14" s="33">
        <v>0.35</v>
      </c>
      <c r="AD14" s="33">
        <v>1</v>
      </c>
      <c r="AE14" s="33">
        <v>1</v>
      </c>
      <c r="AF14" s="33">
        <v>1</v>
      </c>
      <c r="AG14" s="37">
        <f aca="true" t="shared" si="36" ref="AG14:AI15">I14-P14</f>
        <v>0</v>
      </c>
      <c r="AH14" s="37">
        <f aca="true" t="shared" si="37" ref="AH14">J14-Q14</f>
        <v>0</v>
      </c>
      <c r="AI14" s="37">
        <f aca="true" t="shared" si="38" ref="AI14">K14-R14</f>
        <v>0</v>
      </c>
      <c r="AJ14" s="37">
        <f aca="true" t="shared" si="39" ref="AJ14:AJ15">Z14*AH14</f>
        <v>0</v>
      </c>
      <c r="AK14" s="37">
        <f aca="true" t="shared" si="40" ref="AK14:AK15">AH14-AJ14</f>
        <v>0</v>
      </c>
      <c r="AL14" s="37">
        <f aca="true" t="shared" si="41" ref="AL14:AL15">AI14*AB14</f>
        <v>0</v>
      </c>
      <c r="AM14" s="37">
        <f aca="true" t="shared" si="42" ref="AM14:AM15">AI14-AL14</f>
        <v>0</v>
      </c>
      <c r="AN14" s="34" t="s">
        <v>44</v>
      </c>
      <c r="AO14" s="34" t="s">
        <v>44</v>
      </c>
      <c r="AP14" s="34" t="s">
        <v>48</v>
      </c>
      <c r="AQ14" s="34" t="s">
        <v>49</v>
      </c>
      <c r="AR14" s="34" t="s">
        <v>50</v>
      </c>
      <c r="AS14" s="35">
        <v>0.87</v>
      </c>
      <c r="AT14" s="35">
        <v>0.83</v>
      </c>
      <c r="AU14" s="35">
        <v>0.77</v>
      </c>
      <c r="AV14" s="51">
        <f>IF(D14=0,,EVEN(6.06*($D14)+123.56))</f>
        <v>294</v>
      </c>
      <c r="AW14" s="51">
        <f>IF(D14=0,,0.49*($D14)+3.73)</f>
        <v>17.45</v>
      </c>
      <c r="AX14" s="52">
        <f>IF(D14=0,,0.55*($D14)+17.65)</f>
        <v>33.05</v>
      </c>
    </row>
    <row r="15" spans="1:50" ht="15.75" thickBot="1">
      <c r="A15" s="53">
        <v>820</v>
      </c>
      <c r="B15" s="54" t="s">
        <v>51</v>
      </c>
      <c r="C15" s="54" t="s">
        <v>45</v>
      </c>
      <c r="D15" s="55">
        <v>11</v>
      </c>
      <c r="E15" s="55" t="s">
        <v>43</v>
      </c>
      <c r="F15" s="56">
        <f t="shared" si="19"/>
        <v>42.94</v>
      </c>
      <c r="G15" s="57">
        <f t="shared" si="19"/>
        <v>1</v>
      </c>
      <c r="H15" s="58">
        <f t="shared" si="19"/>
        <v>3.73</v>
      </c>
      <c r="I15" s="59">
        <f t="shared" si="22"/>
        <v>474</v>
      </c>
      <c r="J15" s="60">
        <f t="shared" si="23"/>
        <v>11</v>
      </c>
      <c r="K15" s="61">
        <f t="shared" si="24"/>
        <v>41</v>
      </c>
      <c r="L15" s="62">
        <f t="shared" si="25"/>
        <v>7</v>
      </c>
      <c r="M15" s="61">
        <f t="shared" si="26"/>
        <v>4</v>
      </c>
      <c r="N15" s="62">
        <f t="shared" si="27"/>
        <v>20</v>
      </c>
      <c r="O15" s="63">
        <f t="shared" si="28"/>
        <v>21</v>
      </c>
      <c r="P15" s="64">
        <f t="shared" si="29"/>
        <v>474</v>
      </c>
      <c r="Q15" s="65">
        <f t="shared" si="29"/>
        <v>11</v>
      </c>
      <c r="R15" s="66">
        <f t="shared" si="29"/>
        <v>27.060000000000002</v>
      </c>
      <c r="S15" s="61">
        <f t="shared" si="32"/>
        <v>7</v>
      </c>
      <c r="T15" s="62">
        <f t="shared" si="33"/>
        <v>4</v>
      </c>
      <c r="U15" s="61">
        <f t="shared" si="34"/>
        <v>13</v>
      </c>
      <c r="V15" s="67">
        <f t="shared" si="35"/>
        <v>14.060000000000002</v>
      </c>
      <c r="W15" s="68">
        <v>42.94</v>
      </c>
      <c r="X15" s="68">
        <v>1</v>
      </c>
      <c r="Y15" s="68">
        <v>3.73</v>
      </c>
      <c r="Z15" s="69">
        <v>0.61</v>
      </c>
      <c r="AA15" s="69">
        <v>0.39</v>
      </c>
      <c r="AB15" s="69">
        <v>0.49</v>
      </c>
      <c r="AC15" s="69">
        <v>0.51</v>
      </c>
      <c r="AD15" s="70">
        <v>1</v>
      </c>
      <c r="AE15" s="70">
        <v>1</v>
      </c>
      <c r="AF15" s="71">
        <f>IF(D15&lt;152,0.66,1-(EXP(-0.29*LN(D15)+5)/100))</f>
        <v>0.66</v>
      </c>
      <c r="AG15" s="72">
        <f t="shared" si="36"/>
        <v>0</v>
      </c>
      <c r="AH15" s="72">
        <f t="shared" si="36"/>
        <v>0</v>
      </c>
      <c r="AI15" s="72">
        <f t="shared" si="36"/>
        <v>13.939999999999998</v>
      </c>
      <c r="AJ15" s="72">
        <f t="shared" si="39"/>
        <v>0</v>
      </c>
      <c r="AK15" s="72">
        <f t="shared" si="40"/>
        <v>0</v>
      </c>
      <c r="AL15" s="72">
        <f t="shared" si="41"/>
        <v>6.830599999999999</v>
      </c>
      <c r="AM15" s="72">
        <f t="shared" si="42"/>
        <v>7.109399999999999</v>
      </c>
      <c r="AN15" s="70" t="s">
        <v>44</v>
      </c>
      <c r="AO15" s="70" t="s">
        <v>44</v>
      </c>
      <c r="AP15" s="70" t="s">
        <v>52</v>
      </c>
      <c r="AQ15" s="73" t="s">
        <v>53</v>
      </c>
      <c r="AR15" s="73" t="s">
        <v>54</v>
      </c>
      <c r="AS15" s="74">
        <v>0.78</v>
      </c>
      <c r="AT15" s="74">
        <v>0.52</v>
      </c>
      <c r="AU15" s="74">
        <v>0.81</v>
      </c>
      <c r="AV15" s="75">
        <f>IF($D15=0,,EVEN(EXP(0.65*LN($D15)+5.83)))</f>
        <v>1618</v>
      </c>
      <c r="AW15" s="75">
        <f>IF($D15=0,,EXP(0.59*LN($D15)+2.32))</f>
        <v>41.87789872156796</v>
      </c>
      <c r="AX15" s="76">
        <f>IF(D15=0,,EXP(0.67*LN($D15)+3.37))</f>
        <v>144.9791346027804</v>
      </c>
    </row>
    <row r="16" spans="1:50" ht="15">
      <c r="A16" s="44"/>
      <c r="B16" s="44"/>
      <c r="D16" s="1"/>
      <c r="E16" s="1"/>
      <c r="F16" s="1"/>
      <c r="G16" s="1"/>
      <c r="H16" s="45" t="s">
        <v>55</v>
      </c>
      <c r="I16" s="47">
        <f>SUM(I14:I15)</f>
        <v>662</v>
      </c>
      <c r="J16" s="47">
        <f aca="true" t="shared" si="43" ref="J16:V16">SUM(J14:J15)</f>
        <v>25</v>
      </c>
      <c r="K16" s="47">
        <f t="shared" si="43"/>
        <v>58</v>
      </c>
      <c r="L16" s="47">
        <f t="shared" si="43"/>
        <v>10</v>
      </c>
      <c r="M16" s="47">
        <f t="shared" si="43"/>
        <v>15</v>
      </c>
      <c r="N16" s="47">
        <f t="shared" si="43"/>
        <v>31</v>
      </c>
      <c r="O16" s="47">
        <f t="shared" si="43"/>
        <v>27</v>
      </c>
      <c r="P16" s="47">
        <f t="shared" si="43"/>
        <v>662</v>
      </c>
      <c r="Q16" s="47">
        <f t="shared" si="43"/>
        <v>25</v>
      </c>
      <c r="R16" s="47">
        <f t="shared" si="43"/>
        <v>44.06</v>
      </c>
      <c r="S16" s="47">
        <f t="shared" si="43"/>
        <v>10</v>
      </c>
      <c r="T16" s="47">
        <f t="shared" si="43"/>
        <v>15</v>
      </c>
      <c r="U16" s="47">
        <f t="shared" si="43"/>
        <v>24</v>
      </c>
      <c r="V16" s="47">
        <f t="shared" si="43"/>
        <v>20.060000000000002</v>
      </c>
      <c r="W16" s="7"/>
      <c r="X16" s="7"/>
      <c r="Y16" s="7"/>
      <c r="Z16" s="46"/>
      <c r="AA16" s="46"/>
      <c r="AB16" s="46"/>
      <c r="AC16" s="46"/>
      <c r="AD16" s="7"/>
      <c r="AE16" s="7"/>
      <c r="AF16" s="7"/>
      <c r="AG16" s="36">
        <f>SUM(AG14:AG15)</f>
        <v>0</v>
      </c>
      <c r="AH16" s="36">
        <f aca="true" t="shared" si="44" ref="AH16:AM16">SUM(AH14:AH15)</f>
        <v>0</v>
      </c>
      <c r="AI16" s="36">
        <f t="shared" si="44"/>
        <v>13.939999999999998</v>
      </c>
      <c r="AJ16" s="36">
        <f t="shared" si="44"/>
        <v>0</v>
      </c>
      <c r="AK16" s="36">
        <f t="shared" si="44"/>
        <v>0</v>
      </c>
      <c r="AL16" s="36">
        <f t="shared" si="44"/>
        <v>6.830599999999999</v>
      </c>
      <c r="AM16" s="36">
        <f t="shared" si="44"/>
        <v>7.109399999999999</v>
      </c>
      <c r="AN16" s="7"/>
      <c r="AO16" s="7"/>
      <c r="AP16" s="7"/>
      <c r="AQ16" s="7"/>
      <c r="AR16" s="7"/>
      <c r="AS16" s="7"/>
      <c r="AT16" s="7"/>
      <c r="AU16" s="7"/>
      <c r="AV16" s="7"/>
      <c r="AW16" s="7"/>
      <c r="AX16" s="7"/>
    </row>
    <row r="20" spans="1:22" ht="15.75" thickBot="1">
      <c r="A20" s="120" t="s">
        <v>61</v>
      </c>
      <c r="B20" s="121"/>
      <c r="C20" s="121"/>
      <c r="D20" s="121"/>
      <c r="E20" s="121"/>
      <c r="F20" s="121"/>
      <c r="G20" s="121"/>
      <c r="H20" s="122"/>
      <c r="I20" s="114" t="s">
        <v>6</v>
      </c>
      <c r="J20" s="115"/>
      <c r="K20" s="115"/>
      <c r="L20" s="115"/>
      <c r="M20" s="115"/>
      <c r="N20" s="115"/>
      <c r="O20" s="116"/>
      <c r="P20" s="114" t="s">
        <v>7</v>
      </c>
      <c r="Q20" s="115"/>
      <c r="R20" s="115"/>
      <c r="S20" s="115"/>
      <c r="T20" s="115"/>
      <c r="U20" s="115"/>
      <c r="V20" s="116"/>
    </row>
    <row r="21" spans="1:22" ht="40.5" customHeight="1" thickBot="1">
      <c r="A21" s="117" t="s">
        <v>59</v>
      </c>
      <c r="B21" s="118"/>
      <c r="C21" s="118"/>
      <c r="D21" s="118"/>
      <c r="E21" s="118"/>
      <c r="F21" s="118"/>
      <c r="G21" s="118"/>
      <c r="H21" s="119"/>
      <c r="I21" s="78" t="s">
        <v>24</v>
      </c>
      <c r="J21" s="79" t="s">
        <v>25</v>
      </c>
      <c r="K21" s="80" t="s">
        <v>26</v>
      </c>
      <c r="L21" s="79" t="s">
        <v>27</v>
      </c>
      <c r="M21" s="80" t="s">
        <v>28</v>
      </c>
      <c r="N21" s="79" t="s">
        <v>29</v>
      </c>
      <c r="O21" s="81" t="s">
        <v>30</v>
      </c>
      <c r="P21" s="82" t="s">
        <v>24</v>
      </c>
      <c r="Q21" s="80" t="s">
        <v>31</v>
      </c>
      <c r="R21" s="79" t="s">
        <v>32</v>
      </c>
      <c r="S21" s="80" t="s">
        <v>27</v>
      </c>
      <c r="T21" s="79" t="s">
        <v>28</v>
      </c>
      <c r="U21" s="80" t="s">
        <v>29</v>
      </c>
      <c r="V21" s="83" t="s">
        <v>30</v>
      </c>
    </row>
    <row r="22" spans="1:22" ht="15">
      <c r="A22" s="112" t="s">
        <v>58</v>
      </c>
      <c r="B22" s="113"/>
      <c r="C22" s="113"/>
      <c r="D22" s="113"/>
      <c r="E22" s="113"/>
      <c r="F22" s="113"/>
      <c r="G22" s="113"/>
      <c r="H22" s="113"/>
      <c r="I22" s="31">
        <f>I10+I16</f>
        <v>1302</v>
      </c>
      <c r="J22" s="31">
        <f aca="true" t="shared" si="45" ref="J22:V22">J10+J16</f>
        <v>74</v>
      </c>
      <c r="K22" s="31">
        <f t="shared" si="45"/>
        <v>118</v>
      </c>
      <c r="L22" s="31">
        <f t="shared" si="45"/>
        <v>20</v>
      </c>
      <c r="M22" s="31">
        <f t="shared" si="45"/>
        <v>54</v>
      </c>
      <c r="N22" s="31">
        <f t="shared" si="45"/>
        <v>70</v>
      </c>
      <c r="O22" s="31">
        <f t="shared" si="45"/>
        <v>48</v>
      </c>
      <c r="P22" s="31">
        <f t="shared" si="45"/>
        <v>1302</v>
      </c>
      <c r="Q22" s="31">
        <f t="shared" si="45"/>
        <v>74</v>
      </c>
      <c r="R22" s="31">
        <f t="shared" si="45"/>
        <v>104.06</v>
      </c>
      <c r="S22" s="31">
        <f t="shared" si="45"/>
        <v>20</v>
      </c>
      <c r="T22" s="31">
        <f t="shared" si="45"/>
        <v>54</v>
      </c>
      <c r="U22" s="31">
        <f t="shared" si="45"/>
        <v>63</v>
      </c>
      <c r="V22" s="32">
        <f t="shared" si="45"/>
        <v>41.06</v>
      </c>
    </row>
  </sheetData>
  <protectedRanges>
    <protectedRange sqref="D3:H4" name="Range2"/>
    <protectedRange sqref="D8:E8 D13:E13" name="Range1"/>
    <protectedRange sqref="D9:E9 D14:E14" name="Range1_1"/>
    <protectedRange sqref="D15:E15" name="Range1_2"/>
  </protectedRanges>
  <mergeCells count="20">
    <mergeCell ref="A22:H22"/>
    <mergeCell ref="I20:O20"/>
    <mergeCell ref="P20:V20"/>
    <mergeCell ref="A21:H21"/>
    <mergeCell ref="A20:H20"/>
    <mergeCell ref="D3:H3"/>
    <mergeCell ref="D4:H4"/>
    <mergeCell ref="F6:H6"/>
    <mergeCell ref="I6:O6"/>
    <mergeCell ref="P6:V6"/>
    <mergeCell ref="AV6:AX6"/>
    <mergeCell ref="C8:AX8"/>
    <mergeCell ref="C13:AX13"/>
    <mergeCell ref="Z6:AC6"/>
    <mergeCell ref="AD6:AF6"/>
    <mergeCell ref="AG6:AM6"/>
    <mergeCell ref="AN6:AO6"/>
    <mergeCell ref="AP6:AR6"/>
    <mergeCell ref="AS6:AU6"/>
    <mergeCell ref="W6:Y6"/>
  </mergeCells>
  <conditionalFormatting sqref="F9:H9">
    <cfRule type="cellIs" priority="3" dxfId="0" operator="equal" stopIfTrue="1">
      <formula>"RATE?"</formula>
    </cfRule>
  </conditionalFormatting>
  <conditionalFormatting sqref="F14:H14">
    <cfRule type="cellIs" priority="2" dxfId="0" operator="equal" stopIfTrue="1">
      <formula>"RATE?"</formula>
    </cfRule>
  </conditionalFormatting>
  <conditionalFormatting sqref="F15:H15">
    <cfRule type="cellIs" priority="1" dxfId="0" operator="equal" stopIfTrue="1">
      <formula>"RATE?"</formula>
    </cfRule>
  </conditionalFormatting>
  <dataValidations count="2" disablePrompts="1">
    <dataValidation type="list" showInputMessage="1" showErrorMessage="1" sqref="WVM8:WVM9 JA8:JA9 SW8:SW9 ACS8:ACS9 AMO8:AMO9 AWK8:AWK9 BGG8:BGG9 BQC8:BQC9 BZY8:BZY9 CJU8:CJU9 CTQ8:CTQ9 DDM8:DDM9 DNI8:DNI9 DXE8:DXE9 EHA8:EHA9 EQW8:EQW9 FAS8:FAS9 FKO8:FKO9 FUK8:FUK9 GEG8:GEG9 GOC8:GOC9 GXY8:GXY9 HHU8:HHU9 HRQ8:HRQ9 IBM8:IBM9 ILI8:ILI9 IVE8:IVE9 JFA8:JFA9 JOW8:JOW9 JYS8:JYS9 KIO8:KIO9 KSK8:KSK9 LCG8:LCG9 LMC8:LMC9 LVY8:LVY9 MFU8:MFU9 MPQ8:MPQ9 MZM8:MZM9 NJI8:NJI9 NTE8:NTE9 ODA8:ODA9 OMW8:OMW9 OWS8:OWS9 PGO8:PGO9 PQK8:PQK9 QAG8:QAG9 QKC8:QKC9 QTY8:QTY9 RDU8:RDU9 RNQ8:RNQ9 RXM8:RXM9 SHI8:SHI9 SRE8:SRE9 TBA8:TBA9 TKW8:TKW9 TUS8:TUS9 UEO8:UEO9 UOK8:UOK9 UYG8:UYG9 VIC8:VIC9 VRY8:VRY9 WBU8:WBU9 WLQ8:WLQ9 E9 WVM13:WVM1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formula1>"Avg, Eq"</formula1>
    </dataValidation>
    <dataValidation type="list" showInputMessage="1" showErrorMessage="1" sqref="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E14:E15">
      <formula1>"Avg, Eq"</formula1>
    </dataValidation>
  </dataValidation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McKinney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Thuan Huynh</dc:creator>
  <cp:keywords/>
  <dc:description/>
  <cp:lastModifiedBy>Sandy Hart</cp:lastModifiedBy>
  <cp:lastPrinted>2017-01-12T19:10:53Z</cp:lastPrinted>
  <dcterms:created xsi:type="dcterms:W3CDTF">2017-01-09T20:07:56Z</dcterms:created>
  <dcterms:modified xsi:type="dcterms:W3CDTF">2017-01-18T15:44:07Z</dcterms:modified>
  <cp:category/>
  <cp:version/>
  <cp:contentType/>
  <cp:contentStatus/>
</cp:coreProperties>
</file>